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gens\Documents\Dropbox\LVL\LVL-ØKONOMI\EL\EL-2017\"/>
    </mc:Choice>
  </mc:AlternateContent>
  <bookViews>
    <workbookView xWindow="7110" yWindow="885" windowWidth="14235" windowHeight="8190" xr2:uid="{00000000-000D-0000-FFFF-FFFF00000000}"/>
  </bookViews>
  <sheets>
    <sheet name="Ark1" sheetId="1" r:id="rId1"/>
    <sheet name="Ark2" sheetId="2" r:id="rId2"/>
    <sheet name="Ark3" sheetId="3" r:id="rId3"/>
    <sheet name="Kompatibilitetsrapport" sheetId="4" r:id="rId4"/>
    <sheet name="Kompatibilitetsrapport (1)" sheetId="5" r:id="rId5"/>
  </sheets>
  <calcPr calcId="171027"/>
  <fileRecoveryPr autoRecover="0"/>
</workbook>
</file>

<file path=xl/calcChain.xml><?xml version="1.0" encoding="utf-8"?>
<calcChain xmlns="http://schemas.openxmlformats.org/spreadsheetml/2006/main">
  <c r="D23" i="1" l="1"/>
  <c r="D24" i="1"/>
  <c r="D25" i="1" l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A23" i="1" l="1"/>
  <c r="A39" i="1" s="1"/>
  <c r="H39" i="1"/>
  <c r="K39" i="1"/>
  <c r="J39" i="1"/>
  <c r="M18" i="1" l="1"/>
  <c r="L39" i="1" l="1"/>
  <c r="L23" i="1"/>
  <c r="L24" i="1"/>
  <c r="I17" i="1" l="1"/>
  <c r="M16" i="1" l="1"/>
  <c r="I16" i="1"/>
  <c r="M15" i="1" l="1"/>
  <c r="I15" i="1"/>
  <c r="I12" i="1" l="1"/>
  <c r="I14" i="1"/>
  <c r="F14" i="1"/>
  <c r="M13" i="1" l="1"/>
  <c r="I13" i="1"/>
  <c r="M12" i="1" l="1"/>
  <c r="M11" i="1" l="1"/>
  <c r="I11" i="1"/>
  <c r="M10" i="1" l="1"/>
  <c r="J10" i="1"/>
  <c r="I10" i="1"/>
  <c r="F10" i="1"/>
  <c r="M9" i="1" l="1"/>
  <c r="J9" i="1"/>
  <c r="K9" i="1" s="1"/>
  <c r="I9" i="1"/>
  <c r="J8" i="1" l="1"/>
  <c r="J7" i="1"/>
  <c r="K8" i="1"/>
  <c r="I8" i="1"/>
  <c r="K7" i="1" l="1"/>
  <c r="I7" i="1"/>
  <c r="M42" i="1" l="1"/>
  <c r="I38" i="1" l="1"/>
  <c r="L38" i="1"/>
  <c r="M38" i="1" s="1"/>
  <c r="M6" i="1" l="1"/>
  <c r="I6" i="1"/>
  <c r="L18" i="1"/>
  <c r="B18" i="1"/>
  <c r="I32" i="1" l="1"/>
  <c r="I33" i="1"/>
  <c r="I34" i="1"/>
  <c r="I35" i="1"/>
  <c r="I36" i="1"/>
  <c r="I37" i="1"/>
  <c r="L25" i="1" l="1"/>
  <c r="F8" i="1" l="1"/>
  <c r="F7" i="1"/>
  <c r="L26" i="1" l="1"/>
  <c r="F27" i="1"/>
  <c r="I27" i="1" s="1"/>
  <c r="L27" i="1" l="1"/>
  <c r="L28" i="1"/>
  <c r="L29" i="1"/>
  <c r="L30" i="1"/>
  <c r="L31" i="1"/>
  <c r="L32" i="1"/>
  <c r="L33" i="1"/>
  <c r="L34" i="1"/>
  <c r="L35" i="1"/>
  <c r="L36" i="1"/>
  <c r="L37" i="1"/>
  <c r="F17" i="1"/>
  <c r="F16" i="1"/>
  <c r="F15" i="1"/>
  <c r="F13" i="1"/>
  <c r="F12" i="1"/>
  <c r="F11" i="1"/>
  <c r="F9" i="1"/>
  <c r="G8" i="1"/>
  <c r="G13" i="1" l="1"/>
  <c r="J13" i="1" s="1"/>
  <c r="K13" i="1" s="1"/>
  <c r="G11" i="1"/>
  <c r="J11" i="1" s="1"/>
  <c r="K11" i="1" s="1"/>
  <c r="G14" i="1"/>
  <c r="J14" i="1" s="1"/>
  <c r="K14" i="1" s="1"/>
  <c r="G9" i="1"/>
  <c r="G16" i="1"/>
  <c r="J16" i="1" s="1"/>
  <c r="K16" i="1" s="1"/>
  <c r="G10" i="1"/>
  <c r="K10" i="1"/>
  <c r="G17" i="1"/>
  <c r="G12" i="1"/>
  <c r="J12" i="1" s="1"/>
  <c r="K12" i="1" s="1"/>
  <c r="G15" i="1"/>
  <c r="J15" i="1" s="1"/>
  <c r="K15" i="1" s="1"/>
  <c r="F6" i="1"/>
  <c r="G6" i="1" s="1"/>
  <c r="J6" i="1" s="1"/>
  <c r="K6" i="1" s="1"/>
  <c r="G7" i="1"/>
  <c r="F29" i="1"/>
  <c r="I29" i="1" s="1"/>
  <c r="M37" i="1"/>
  <c r="M36" i="1"/>
  <c r="M35" i="1"/>
  <c r="M34" i="1"/>
  <c r="M33" i="1"/>
  <c r="M32" i="1"/>
  <c r="H18" i="1"/>
  <c r="J17" i="1" l="1"/>
  <c r="K17" i="1" s="1"/>
  <c r="F24" i="1"/>
  <c r="M24" i="1"/>
  <c r="I24" i="1"/>
  <c r="F25" i="1"/>
  <c r="I25" i="1" s="1"/>
  <c r="G23" i="3"/>
  <c r="H23" i="3"/>
  <c r="C16" i="3"/>
  <c r="C18" i="3" s="1"/>
  <c r="C17" i="3"/>
  <c r="F31" i="1"/>
  <c r="I31" i="1" s="1"/>
  <c r="G18" i="1"/>
  <c r="F23" i="1" l="1"/>
  <c r="C19" i="3"/>
  <c r="M25" i="1"/>
  <c r="F26" i="1"/>
  <c r="I26" i="1" s="1"/>
  <c r="G24" i="3"/>
  <c r="G25" i="3" s="1"/>
  <c r="F28" i="1"/>
  <c r="I28" i="1" s="1"/>
  <c r="M31" i="1"/>
  <c r="J18" i="1"/>
  <c r="K18" i="1" s="1"/>
  <c r="E18" i="1"/>
  <c r="C18" i="1"/>
  <c r="F18" i="1"/>
  <c r="I23" i="1" l="1"/>
  <c r="M23" i="1"/>
  <c r="M27" i="1"/>
  <c r="M26" i="1"/>
  <c r="M28" i="1"/>
  <c r="I18" i="1" l="1"/>
  <c r="F30" i="1" l="1"/>
  <c r="F39" i="1" s="1"/>
  <c r="I30" i="1" l="1"/>
  <c r="I39" i="1" s="1"/>
  <c r="M30" i="1"/>
  <c r="M29" i="1"/>
  <c r="M39" i="1" s="1"/>
  <c r="M40" i="1" s="1"/>
</calcChain>
</file>

<file path=xl/sharedStrings.xml><?xml version="1.0" encoding="utf-8"?>
<sst xmlns="http://schemas.openxmlformats.org/spreadsheetml/2006/main" count="168" uniqueCount="82">
  <si>
    <t>Landvindingslaget Rødby Fjord</t>
  </si>
  <si>
    <t xml:space="preserve">El-statistik for </t>
  </si>
  <si>
    <t xml:space="preserve">ØRE </t>
  </si>
  <si>
    <t xml:space="preserve">Kwh </t>
  </si>
  <si>
    <t>El-udgift</t>
  </si>
  <si>
    <t>pr Kwh</t>
  </si>
  <si>
    <t>I ALT</t>
  </si>
  <si>
    <t>afgift</t>
  </si>
  <si>
    <t>brutto</t>
  </si>
  <si>
    <t>Frie</t>
  </si>
  <si>
    <t>marked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</si>
  <si>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</si>
  <si>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</si>
  <si>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</si>
  <si>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</si>
  <si>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</si>
  <si>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</si>
  <si>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</si>
  <si>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</si>
  <si>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</si>
  <si>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</si>
  <si>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 xml:space="preserve">November </t>
  </si>
  <si>
    <t>December</t>
  </si>
  <si>
    <t xml:space="preserve">Udpumpede vandmængder beregnet efter </t>
  </si>
  <si>
    <t>Udpumpet</t>
  </si>
  <si>
    <t>m3 vand pr.</t>
  </si>
  <si>
    <t>ÅR</t>
  </si>
  <si>
    <t>EL-FORBRUG</t>
  </si>
  <si>
    <t>mil.m3 vand</t>
  </si>
  <si>
    <t>Pumpetimer</t>
  </si>
  <si>
    <t>Pumpetime</t>
  </si>
  <si>
    <t>Kwh        =</t>
  </si>
  <si>
    <t>1999/00</t>
  </si>
  <si>
    <t>1998/99</t>
  </si>
  <si>
    <t>1997/98</t>
  </si>
  <si>
    <t>1996/97</t>
  </si>
  <si>
    <t>1995/96</t>
  </si>
  <si>
    <t>1994/95</t>
  </si>
  <si>
    <t>1993/94</t>
  </si>
  <si>
    <t>Gennemsnit</t>
  </si>
  <si>
    <t>Transport</t>
  </si>
  <si>
    <t>Kompatibilitetsrapport for EL-statistik-2010.xls</t>
  </si>
  <si>
    <t>Kør på 20-04-2010 09:33</t>
  </si>
  <si>
    <t>Følgende funktioner i denne projektmappe understøttes ikke af tidligere versioner af Excel. Disse funktioner mistes eller degraderes, når du gemmer projektmappen i et tidligere filformat.</t>
  </si>
  <si>
    <t>Mindre pålidelighedstab</t>
  </si>
  <si>
    <t>Antal forekomster</t>
  </si>
  <si>
    <t>Nogle formler i denne projektmappe er sammenkædet med andre projektmapper, der er lukket. Når disse formler genberegnes i tidligere versioner af Excel, uden at de sammenkædede projektmapper åbnes, returneres tegn ud over grænsen på 255 tegn ikke.</t>
  </si>
  <si>
    <t>'Ark1'!B6:G6</t>
  </si>
  <si>
    <t>'Ark1'!J6</t>
  </si>
  <si>
    <t>Kør på 09-08-2010 10:13</t>
  </si>
  <si>
    <t>'Ark1'!J6:J10</t>
  </si>
  <si>
    <t>'Ark1'!B7:G8</t>
  </si>
  <si>
    <t>'Ark1'!B9:C9</t>
  </si>
  <si>
    <t>'Ark1'!E9:G9</t>
  </si>
  <si>
    <t>'Ark1'!B10:G10</t>
  </si>
  <si>
    <t>'Ark1'!B12:G12</t>
  </si>
  <si>
    <t>'Ark1'!J12</t>
  </si>
  <si>
    <t>Gennemsn</t>
  </si>
  <si>
    <t>1/4 del</t>
  </si>
  <si>
    <t>3/4 del</t>
  </si>
  <si>
    <t>Budgetter med</t>
  </si>
  <si>
    <t>kwh/året</t>
  </si>
  <si>
    <t>Pris</t>
  </si>
  <si>
    <t>excl. Moms</t>
  </si>
  <si>
    <t xml:space="preserve">Refunderet </t>
  </si>
  <si>
    <t>Nedbørs</t>
  </si>
  <si>
    <t>Ikke ud-</t>
  </si>
  <si>
    <t>Nedbør</t>
  </si>
  <si>
    <t>Opland</t>
  </si>
  <si>
    <t>mængde</t>
  </si>
  <si>
    <t>pumpet</t>
  </si>
  <si>
    <t>mm</t>
  </si>
  <si>
    <t>Km2</t>
  </si>
  <si>
    <t xml:space="preserve"> (mil.m3)</t>
  </si>
  <si>
    <t>SEAS</t>
  </si>
  <si>
    <t>off.forpligt.</t>
  </si>
  <si>
    <t>100%</t>
  </si>
  <si>
    <t>KwH pr.1mil. m3 vand</t>
  </si>
  <si>
    <t>Digelag</t>
  </si>
  <si>
    <t>LVL</t>
  </si>
  <si>
    <t>1993/17</t>
  </si>
  <si>
    <t>Gennemsnit 25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</si>
</sst>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(* #,##0.00_);_(* \(#,##0.00\);_(* &quot;-&quot;??_);_(@_)"/>
    <numFmt numFmtId="165" formatCode="0.000"/>
    <numFmt numFmtId="166" formatCode="_(* #,##0_);_(* \(#,##0\);_(* &quot;-&quot;??_);_(@_)"/>
    <numFmt numFmtId="167" formatCode="#,##0.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3" fontId="0" fillId="0" borderId="0" xfId="0" applyNumberFormat="1"/>
    <xf numFmtId="0" fontId="2" fillId="0" borderId="1" xfId="0" applyFont="1" applyBorder="1"/>
    <xf numFmtId="166" fontId="0" fillId="0" borderId="0" xfId="1" applyNumberFormat="1" applyFont="1"/>
    <xf numFmtId="166" fontId="0" fillId="0" borderId="0" xfId="0" applyNumberFormat="1"/>
    <xf numFmtId="0" fontId="0" fillId="2" borderId="4" xfId="0" applyFill="1" applyBorder="1"/>
    <xf numFmtId="165" fontId="0" fillId="0" borderId="0" xfId="0" applyNumberFormat="1"/>
    <xf numFmtId="1" fontId="0" fillId="0" borderId="0" xfId="0" applyNumberFormat="1"/>
    <xf numFmtId="0" fontId="0" fillId="0" borderId="1" xfId="0" applyBorder="1"/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13" xfId="2" applyNumberFormat="1" applyBorder="1" applyAlignment="1" applyProtection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4" xfId="2" applyNumberFormat="1" applyBorder="1" applyAlignment="1" applyProtection="1">
      <alignment horizontal="center" vertical="top" wrapText="1"/>
    </xf>
    <xf numFmtId="3" fontId="3" fillId="0" borderId="0" xfId="0" applyNumberFormat="1" applyFont="1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7" xfId="0" applyNumberFormat="1" applyBorder="1" applyAlignment="1">
      <alignment vertical="top" wrapText="1"/>
    </xf>
    <xf numFmtId="3" fontId="3" fillId="0" borderId="0" xfId="0" applyNumberFormat="1" applyFont="1" applyAlignment="1">
      <alignment horizontal="center" vertical="top" wrapText="1"/>
    </xf>
    <xf numFmtId="3" fontId="4" fillId="0" borderId="13" xfId="2" applyNumberFormat="1" applyBorder="1" applyAlignment="1" applyProtection="1">
      <alignment horizontal="center" vertical="top" wrapText="1"/>
    </xf>
    <xf numFmtId="3" fontId="4" fillId="0" borderId="14" xfId="2" applyNumberFormat="1" applyBorder="1" applyAlignment="1" applyProtection="1">
      <alignment horizontal="center" vertical="top" wrapText="1"/>
    </xf>
    <xf numFmtId="3" fontId="2" fillId="0" borderId="15" xfId="0" applyNumberFormat="1" applyFont="1" applyBorder="1"/>
    <xf numFmtId="3" fontId="2" fillId="0" borderId="16" xfId="0" applyNumberFormat="1" applyFont="1" applyBorder="1"/>
    <xf numFmtId="3" fontId="2" fillId="0" borderId="2" xfId="0" applyNumberFormat="1" applyFont="1" applyBorder="1"/>
    <xf numFmtId="3" fontId="2" fillId="0" borderId="6" xfId="0" applyNumberFormat="1" applyFont="1" applyBorder="1"/>
    <xf numFmtId="166" fontId="0" fillId="0" borderId="5" xfId="0" applyNumberFormat="1" applyBorder="1"/>
    <xf numFmtId="0" fontId="2" fillId="0" borderId="0" xfId="0" applyFont="1"/>
    <xf numFmtId="166" fontId="2" fillId="0" borderId="0" xfId="1" applyNumberFormat="1" applyFont="1"/>
    <xf numFmtId="0" fontId="5" fillId="0" borderId="0" xfId="0" applyFont="1"/>
    <xf numFmtId="0" fontId="0" fillId="0" borderId="17" xfId="0" applyBorder="1" applyAlignment="1">
      <alignment horizontal="center"/>
    </xf>
    <xf numFmtId="164" fontId="0" fillId="0" borderId="0" xfId="1" applyFont="1"/>
    <xf numFmtId="3" fontId="1" fillId="0" borderId="0" xfId="0" applyNumberFormat="1" applyFont="1"/>
    <xf numFmtId="0" fontId="0" fillId="2" borderId="18" xfId="0" applyFill="1" applyBorder="1"/>
    <xf numFmtId="0" fontId="7" fillId="0" borderId="0" xfId="0" applyFo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18" xfId="0" applyBorder="1" applyAlignment="1">
      <alignment horizontal="center"/>
    </xf>
    <xf numFmtId="0" fontId="0" fillId="0" borderId="18" xfId="0" applyFill="1" applyBorder="1"/>
    <xf numFmtId="9" fontId="0" fillId="0" borderId="1" xfId="0" applyNumberFormat="1" applyBorder="1"/>
    <xf numFmtId="2" fontId="0" fillId="0" borderId="0" xfId="0" applyNumberFormat="1"/>
    <xf numFmtId="0" fontId="2" fillId="0" borderId="2" xfId="0" applyFont="1" applyBorder="1"/>
    <xf numFmtId="1" fontId="2" fillId="0" borderId="2" xfId="0" applyNumberFormat="1" applyFont="1" applyBorder="1"/>
    <xf numFmtId="3" fontId="1" fillId="2" borderId="4" xfId="0" applyNumberFormat="1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165" fontId="2" fillId="0" borderId="0" xfId="0" applyNumberFormat="1" applyFont="1" applyBorder="1"/>
    <xf numFmtId="166" fontId="2" fillId="0" borderId="6" xfId="1" applyNumberFormat="1" applyFont="1" applyBorder="1"/>
    <xf numFmtId="1" fontId="2" fillId="0" borderId="0" xfId="0" applyNumberFormat="1" applyFont="1" applyBorder="1"/>
    <xf numFmtId="166" fontId="0" fillId="0" borderId="0" xfId="0" applyNumberFormat="1" applyBorder="1"/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66" fontId="2" fillId="0" borderId="0" xfId="1" applyNumberFormat="1" applyFont="1" applyBorder="1"/>
    <xf numFmtId="166" fontId="1" fillId="0" borderId="0" xfId="1" applyNumberFormat="1" applyFont="1"/>
    <xf numFmtId="166" fontId="0" fillId="3" borderId="0" xfId="1" applyNumberFormat="1" applyFont="1" applyFill="1" applyBorder="1"/>
    <xf numFmtId="0" fontId="0" fillId="0" borderId="0" xfId="1" applyNumberFormat="1" applyFont="1" applyBorder="1" applyAlignment="1">
      <alignment horizontal="center" vertical="top"/>
    </xf>
    <xf numFmtId="0" fontId="0" fillId="2" borderId="3" xfId="0" applyFill="1" applyBorder="1"/>
    <xf numFmtId="0" fontId="0" fillId="0" borderId="3" xfId="0" applyBorder="1"/>
    <xf numFmtId="166" fontId="2" fillId="0" borderId="2" xfId="1" applyNumberFormat="1" applyFont="1" applyBorder="1"/>
    <xf numFmtId="2" fontId="2" fillId="0" borderId="2" xfId="0" applyNumberFormat="1" applyFont="1" applyBorder="1"/>
    <xf numFmtId="4" fontId="2" fillId="0" borderId="2" xfId="0" applyNumberFormat="1" applyFont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20" xfId="0" applyNumberForma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/>
    <xf numFmtId="0" fontId="2" fillId="0" borderId="5" xfId="0" applyFont="1" applyBorder="1"/>
    <xf numFmtId="3" fontId="2" fillId="3" borderId="6" xfId="0" applyNumberFormat="1" applyFont="1" applyFill="1" applyBorder="1"/>
    <xf numFmtId="0" fontId="2" fillId="0" borderId="6" xfId="0" applyFont="1" applyBorder="1" applyAlignment="1">
      <alignment horizontal="center"/>
    </xf>
    <xf numFmtId="166" fontId="2" fillId="0" borderId="6" xfId="0" applyNumberFormat="1" applyFont="1" applyBorder="1"/>
    <xf numFmtId="166" fontId="2" fillId="0" borderId="6" xfId="0" applyNumberFormat="1" applyFont="1" applyBorder="1" applyAlignment="1">
      <alignment horizontal="center"/>
    </xf>
    <xf numFmtId="166" fontId="6" fillId="0" borderId="0" xfId="1" applyNumberFormat="1" applyFont="1" applyBorder="1"/>
    <xf numFmtId="3" fontId="6" fillId="0" borderId="0" xfId="0" applyNumberFormat="1" applyFont="1" applyBorder="1"/>
    <xf numFmtId="167" fontId="10" fillId="0" borderId="0" xfId="0" applyNumberFormat="1" applyFont="1" applyBorder="1"/>
    <xf numFmtId="49" fontId="2" fillId="0" borderId="0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center"/>
    </xf>
    <xf numFmtId="0" fontId="1" fillId="0" borderId="0" xfId="0" applyFont="1"/>
    <xf numFmtId="165" fontId="1" fillId="0" borderId="0" xfId="0" applyNumberFormat="1" applyFont="1"/>
    <xf numFmtId="2" fontId="1" fillId="0" borderId="0" xfId="0" applyNumberFormat="1" applyFont="1"/>
    <xf numFmtId="43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/>
    <xf numFmtId="2" fontId="2" fillId="0" borderId="6" xfId="0" applyNumberFormat="1" applyFont="1" applyBorder="1" applyAlignment="1">
      <alignment horizontal="center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0E2-40DF-8D85-3FE60767F835}"/>
              </c:ext>
            </c:extLst>
          </c:dPt>
          <c:dPt>
            <c:idx val="18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0E2-40DF-8D85-3FE60767F835}"/>
              </c:ext>
            </c:extLst>
          </c:dPt>
          <c:dLbls>
            <c:dLbl>
              <c:idx val="16"/>
              <c:spPr>
                <a:solidFill>
                  <a:schemeClr val="lt1"/>
                </a:solidFill>
                <a:ln w="25400" cap="flat" cmpd="sng" algn="ctr">
                  <a:solidFill>
                    <a:schemeClr val="dk1"/>
                  </a:solidFill>
                  <a:prstDash val="solid"/>
                </a:ln>
                <a:effectLst/>
              </c:spPr>
              <c:txPr>
                <a:bodyPr rot="-540000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C0E2-40DF-8D85-3FE60767F835}"/>
                </c:ext>
              </c:extLst>
            </c:dLbl>
            <c:dLbl>
              <c:idx val="18"/>
              <c:spPr>
                <a:solidFill>
                  <a:schemeClr val="lt1"/>
                </a:solidFill>
                <a:ln w="25400" cap="flat" cmpd="sng" algn="ctr">
                  <a:solidFill>
                    <a:schemeClr val="dk1"/>
                  </a:solidFill>
                  <a:prstDash val="solid"/>
                </a:ln>
                <a:effectLst/>
              </c:spPr>
              <c:txPr>
                <a:bodyPr rot="-540000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0E2-40DF-8D85-3FE60767F8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'Ark1'!$C$23:$C$40</c:f>
              <c:strCache>
                <c:ptCount val="17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Gennemsnit</c:v>
                </c:pt>
              </c:strCache>
            </c:strRef>
          </c:cat>
          <c:val>
            <c:numRef>
              <c:f>'Ark1'!$D$23:$D$40</c:f>
              <c:numCache>
                <c:formatCode>#,##0</c:formatCode>
                <c:ptCount val="18"/>
                <c:pt idx="0">
                  <c:v>949433</c:v>
                </c:pt>
                <c:pt idx="1">
                  <c:v>682500</c:v>
                </c:pt>
                <c:pt idx="2">
                  <c:v>994846</c:v>
                </c:pt>
                <c:pt idx="3">
                  <c:v>632168</c:v>
                </c:pt>
                <c:pt idx="4">
                  <c:v>638736</c:v>
                </c:pt>
                <c:pt idx="5">
                  <c:v>674304</c:v>
                </c:pt>
                <c:pt idx="6">
                  <c:v>1231243</c:v>
                </c:pt>
                <c:pt idx="7">
                  <c:v>991841</c:v>
                </c:pt>
                <c:pt idx="8">
                  <c:v>423640</c:v>
                </c:pt>
                <c:pt idx="9">
                  <c:v>446892</c:v>
                </c:pt>
                <c:pt idx="10">
                  <c:v>1013361</c:v>
                </c:pt>
                <c:pt idx="11">
                  <c:v>752020</c:v>
                </c:pt>
                <c:pt idx="12">
                  <c:v>581036</c:v>
                </c:pt>
                <c:pt idx="13">
                  <c:v>604428</c:v>
                </c:pt>
                <c:pt idx="14">
                  <c:v>332411</c:v>
                </c:pt>
                <c:pt idx="15">
                  <c:v>1253720</c:v>
                </c:pt>
                <c:pt idx="16">
                  <c:v>765765.5625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0-4581-BA4A-173FD8B331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03955824"/>
        <c:axId val="302978232"/>
      </c:barChart>
      <c:catAx>
        <c:axId val="303955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2978232"/>
        <c:crosses val="autoZero"/>
        <c:auto val="1"/>
        <c:lblAlgn val="ctr"/>
        <c:lblOffset val="100"/>
        <c:noMultiLvlLbl val="0"/>
      </c:catAx>
      <c:valAx>
        <c:axId val="30297823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0395582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44</xdr:row>
      <xdr:rowOff>133349</xdr:rowOff>
    </xdr:from>
    <xdr:to>
      <xdr:col>12</xdr:col>
      <xdr:colOff>533400</xdr:colOff>
      <xdr:row>71</xdr:row>
      <xdr:rowOff>152399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topLeftCell="A16" workbookViewId="0">
      <selection activeCell="H39" sqref="H39"/>
    </sheetView>
  </sheetViews>
  <sheetFormatPr defaultRowHeight="12.75" x14ac:dyDescent="0.2"/>
  <cols>
    <col min="1" max="1" width="9.7109375" customWidth="1"/>
    <col min="2" max="2" width="11.140625" customWidth="1"/>
    <col min="3" max="3" width="9.140625" customWidth="1"/>
    <col min="4" max="4" width="13.140625" bestFit="1" customWidth="1"/>
    <col min="5" max="5" width="10.42578125" customWidth="1"/>
    <col min="6" max="6" width="11" customWidth="1"/>
    <col min="7" max="7" width="10.85546875" bestFit="1" customWidth="1"/>
    <col min="8" max="8" width="10.7109375" customWidth="1"/>
    <col min="9" max="9" width="10" customWidth="1"/>
    <col min="10" max="11" width="9.7109375" customWidth="1"/>
    <col min="12" max="12" width="7.85546875" customWidth="1"/>
    <col min="13" max="13" width="9" style="79" bestFit="1" customWidth="1"/>
    <col min="14" max="14" width="10.28515625" bestFit="1" customWidth="1"/>
  </cols>
  <sheetData>
    <row r="1" spans="1:14" s="44" customFormat="1" ht="18" x14ac:dyDescent="0.25">
      <c r="A1" s="44" t="s">
        <v>0</v>
      </c>
      <c r="E1" s="44" t="s">
        <v>1</v>
      </c>
      <c r="G1" s="44">
        <v>2017</v>
      </c>
      <c r="M1" s="78"/>
    </row>
    <row r="2" spans="1:14" x14ac:dyDescent="0.2">
      <c r="K2" t="s">
        <v>2</v>
      </c>
      <c r="L2" t="s">
        <v>2</v>
      </c>
      <c r="M2" s="79" t="s">
        <v>2</v>
      </c>
    </row>
    <row r="3" spans="1:14" x14ac:dyDescent="0.2">
      <c r="F3" s="39" t="s">
        <v>62</v>
      </c>
      <c r="G3" s="39" t="s">
        <v>62</v>
      </c>
      <c r="H3" t="s">
        <v>3</v>
      </c>
      <c r="I3" s="39" t="s">
        <v>64</v>
      </c>
      <c r="J3" t="s">
        <v>4</v>
      </c>
      <c r="K3" t="s">
        <v>5</v>
      </c>
      <c r="L3" t="s">
        <v>5</v>
      </c>
      <c r="M3" s="79" t="s">
        <v>40</v>
      </c>
    </row>
    <row r="4" spans="1:14" x14ac:dyDescent="0.2">
      <c r="B4" t="s">
        <v>74</v>
      </c>
      <c r="F4" t="s">
        <v>6</v>
      </c>
      <c r="G4" s="39" t="s">
        <v>63</v>
      </c>
      <c r="H4" t="s">
        <v>6</v>
      </c>
      <c r="I4" t="s">
        <v>7</v>
      </c>
      <c r="J4" t="s">
        <v>8</v>
      </c>
      <c r="K4" t="s">
        <v>8</v>
      </c>
      <c r="L4" t="s">
        <v>9</v>
      </c>
      <c r="M4" s="88" t="s">
        <v>75</v>
      </c>
    </row>
    <row r="5" spans="1:14" x14ac:dyDescent="0.2">
      <c r="I5" s="40">
        <v>0.90600000000000003</v>
      </c>
      <c r="L5" t="s">
        <v>10</v>
      </c>
    </row>
    <row r="6" spans="1:14" x14ac:dyDescent="0.2">
      <c r="A6" t="s">
        <v>11</v>
      </c>
      <c r="B6" s="1">
        <v>135103.57</v>
      </c>
      <c r="C6" s="1"/>
      <c r="D6" s="1"/>
      <c r="E6" s="1"/>
      <c r="F6" s="1">
        <f t="shared" ref="F6:F17" si="0">B6+C6</f>
        <v>135103.57</v>
      </c>
      <c r="G6" s="1">
        <f>F6*0.8</f>
        <v>108082.85600000001</v>
      </c>
      <c r="H6" s="42">
        <v>68210</v>
      </c>
      <c r="I6" s="42">
        <f>H6*I5</f>
        <v>61798.26</v>
      </c>
      <c r="J6" s="1">
        <f>G6-I6</f>
        <v>46284.596000000012</v>
      </c>
      <c r="K6" s="6">
        <f t="shared" ref="K6:K17" si="1">J6/H6</f>
        <v>0.67856026975516803</v>
      </c>
      <c r="L6" s="51">
        <v>28.19</v>
      </c>
      <c r="M6" s="80">
        <f>21.67+17.3</f>
        <v>38.97</v>
      </c>
    </row>
    <row r="7" spans="1:14" x14ac:dyDescent="0.2">
      <c r="A7" t="s">
        <v>12</v>
      </c>
      <c r="B7" s="1">
        <v>143262.54</v>
      </c>
      <c r="C7" s="1"/>
      <c r="D7" s="1"/>
      <c r="E7" s="1"/>
      <c r="F7" s="1">
        <f t="shared" si="0"/>
        <v>143262.54</v>
      </c>
      <c r="G7" s="1">
        <f t="shared" ref="G7:G17" si="2">F7*0.8</f>
        <v>114610.03200000001</v>
      </c>
      <c r="H7" s="42">
        <v>72340</v>
      </c>
      <c r="I7" s="42">
        <f>H7*I5</f>
        <v>65540.040000000008</v>
      </c>
      <c r="J7" s="1">
        <f>G7-I7</f>
        <v>49069.991999999998</v>
      </c>
      <c r="K7" s="6">
        <f t="shared" si="1"/>
        <v>0.67832446779098698</v>
      </c>
      <c r="L7" s="51">
        <v>28.19</v>
      </c>
      <c r="M7" s="80">
        <v>38.979999999999997</v>
      </c>
    </row>
    <row r="8" spans="1:14" x14ac:dyDescent="0.2">
      <c r="A8" t="s">
        <v>13</v>
      </c>
      <c r="B8" s="1">
        <v>259158.84</v>
      </c>
      <c r="C8" s="1"/>
      <c r="D8" s="1"/>
      <c r="E8" s="1"/>
      <c r="F8" s="1">
        <f t="shared" si="0"/>
        <v>259158.84</v>
      </c>
      <c r="G8" s="1">
        <f t="shared" si="2"/>
        <v>207327.07200000001</v>
      </c>
      <c r="H8" s="42">
        <v>130963</v>
      </c>
      <c r="I8" s="42">
        <f>H8*I5</f>
        <v>118652.478</v>
      </c>
      <c r="J8" s="1">
        <f>G8-I8</f>
        <v>88674.594000000012</v>
      </c>
      <c r="K8" s="6">
        <f t="shared" si="1"/>
        <v>0.67709653871704234</v>
      </c>
      <c r="L8" s="51">
        <v>28.19</v>
      </c>
      <c r="M8" s="80">
        <v>38.97</v>
      </c>
    </row>
    <row r="9" spans="1:14" x14ac:dyDescent="0.2">
      <c r="A9" t="s">
        <v>14</v>
      </c>
      <c r="B9" s="3">
        <v>68496.53</v>
      </c>
      <c r="C9" s="1"/>
      <c r="D9" s="3"/>
      <c r="E9" s="1"/>
      <c r="F9" s="1">
        <f t="shared" si="0"/>
        <v>68496.53</v>
      </c>
      <c r="G9" s="1">
        <f t="shared" si="2"/>
        <v>54797.224000000002</v>
      </c>
      <c r="H9" s="42">
        <v>35163</v>
      </c>
      <c r="I9" s="42">
        <f>H9*I5</f>
        <v>31857.678</v>
      </c>
      <c r="J9" s="1">
        <f>G9-I9</f>
        <v>22939.546000000002</v>
      </c>
      <c r="K9" s="6">
        <f t="shared" si="1"/>
        <v>0.65237738531979639</v>
      </c>
      <c r="L9" s="51">
        <v>28.19</v>
      </c>
      <c r="M9" s="80">
        <f>21.67+14.4</f>
        <v>36.07</v>
      </c>
    </row>
    <row r="10" spans="1:14" x14ac:dyDescent="0.2">
      <c r="A10" t="s">
        <v>15</v>
      </c>
      <c r="B10" s="3">
        <v>29151.65</v>
      </c>
      <c r="C10" s="1"/>
      <c r="D10" s="3"/>
      <c r="E10" s="1"/>
      <c r="F10" s="1">
        <f>B10+C10</f>
        <v>29151.65</v>
      </c>
      <c r="G10" s="1">
        <f t="shared" si="2"/>
        <v>23321.320000000003</v>
      </c>
      <c r="H10" s="42">
        <v>14892</v>
      </c>
      <c r="I10" s="42">
        <f>I5*H10</f>
        <v>13492.152</v>
      </c>
      <c r="J10" s="1">
        <f t="shared" ref="J10:J16" si="3">G10-I10</f>
        <v>9829.1680000000033</v>
      </c>
      <c r="K10" s="6">
        <f t="shared" si="1"/>
        <v>0.6600300832661834</v>
      </c>
      <c r="L10" s="51">
        <v>28.19</v>
      </c>
      <c r="M10" s="80">
        <f>21.67+14.4</f>
        <v>36.07</v>
      </c>
    </row>
    <row r="11" spans="1:14" x14ac:dyDescent="0.2">
      <c r="A11" t="s">
        <v>16</v>
      </c>
      <c r="B11" s="3">
        <v>14647.42</v>
      </c>
      <c r="C11" s="1"/>
      <c r="D11" s="3"/>
      <c r="E11" s="1"/>
      <c r="F11" s="1">
        <f t="shared" si="0"/>
        <v>14647.42</v>
      </c>
      <c r="G11" s="1">
        <f t="shared" si="2"/>
        <v>11717.936000000002</v>
      </c>
      <c r="H11" s="42">
        <v>7418</v>
      </c>
      <c r="I11" s="42">
        <f>I5*H11</f>
        <v>6720.7080000000005</v>
      </c>
      <c r="J11" s="1">
        <f t="shared" si="3"/>
        <v>4997.228000000001</v>
      </c>
      <c r="K11" s="6">
        <f t="shared" si="1"/>
        <v>0.67366244270692921</v>
      </c>
      <c r="L11" s="51">
        <v>28.19</v>
      </c>
      <c r="M11" s="80">
        <f>21.68+14.4</f>
        <v>36.08</v>
      </c>
    </row>
    <row r="12" spans="1:14" x14ac:dyDescent="0.2">
      <c r="A12" t="s">
        <v>17</v>
      </c>
      <c r="B12" s="3">
        <v>42471.38</v>
      </c>
      <c r="C12" s="1"/>
      <c r="D12" s="3"/>
      <c r="E12" s="1"/>
      <c r="F12" s="1">
        <f t="shared" si="0"/>
        <v>42471.38</v>
      </c>
      <c r="G12" s="1">
        <f t="shared" si="2"/>
        <v>33977.103999999999</v>
      </c>
      <c r="H12" s="42">
        <v>21966</v>
      </c>
      <c r="I12" s="42">
        <f>H12*I5</f>
        <v>19901.196</v>
      </c>
      <c r="J12" s="1">
        <f t="shared" si="3"/>
        <v>14075.907999999999</v>
      </c>
      <c r="K12" s="6">
        <f t="shared" si="1"/>
        <v>0.64080433397068193</v>
      </c>
      <c r="L12" s="51">
        <v>28.19</v>
      </c>
      <c r="M12" s="80">
        <f>21.68+12.9</f>
        <v>34.58</v>
      </c>
    </row>
    <row r="13" spans="1:14" x14ac:dyDescent="0.2">
      <c r="A13" t="s">
        <v>18</v>
      </c>
      <c r="B13" s="3">
        <v>59626.6</v>
      </c>
      <c r="C13" s="1"/>
      <c r="D13" s="3"/>
      <c r="E13" s="1"/>
      <c r="F13" s="1">
        <f t="shared" si="0"/>
        <v>59626.6</v>
      </c>
      <c r="G13" s="1">
        <f t="shared" si="2"/>
        <v>47701.279999999999</v>
      </c>
      <c r="H13" s="42">
        <v>30893</v>
      </c>
      <c r="I13" s="42">
        <f>H13*I5</f>
        <v>27989.058000000001</v>
      </c>
      <c r="J13" s="1">
        <f t="shared" si="3"/>
        <v>19712.221999999998</v>
      </c>
      <c r="K13" s="6">
        <f t="shared" si="1"/>
        <v>0.63808053604376391</v>
      </c>
      <c r="L13" s="51">
        <v>28.19</v>
      </c>
      <c r="M13" s="80">
        <f>21.68+12.9</f>
        <v>34.58</v>
      </c>
    </row>
    <row r="14" spans="1:14" x14ac:dyDescent="0.2">
      <c r="A14" t="s">
        <v>19</v>
      </c>
      <c r="B14" s="3">
        <v>183147.54</v>
      </c>
      <c r="C14" s="1"/>
      <c r="D14" s="3"/>
      <c r="E14" s="1"/>
      <c r="F14" s="1">
        <f>B14+C14</f>
        <v>183147.54</v>
      </c>
      <c r="G14" s="1">
        <f t="shared" si="2"/>
        <v>146518.03200000001</v>
      </c>
      <c r="H14" s="42">
        <v>95160</v>
      </c>
      <c r="I14" s="42">
        <f>H14*I5</f>
        <v>86214.96</v>
      </c>
      <c r="J14" s="1">
        <f t="shared" si="3"/>
        <v>60303.072</v>
      </c>
      <c r="K14" s="6">
        <f t="shared" si="1"/>
        <v>0.63370189155107193</v>
      </c>
      <c r="L14" s="51">
        <v>28.19</v>
      </c>
      <c r="M14" s="80">
        <v>34.57</v>
      </c>
    </row>
    <row r="15" spans="1:14" x14ac:dyDescent="0.2">
      <c r="A15" t="s">
        <v>20</v>
      </c>
      <c r="B15" s="3">
        <v>309514.83</v>
      </c>
      <c r="C15" s="1"/>
      <c r="D15" s="3"/>
      <c r="E15" s="41"/>
      <c r="F15" s="1">
        <f t="shared" si="0"/>
        <v>309514.83</v>
      </c>
      <c r="G15" s="1">
        <f t="shared" si="2"/>
        <v>247611.86400000003</v>
      </c>
      <c r="H15" s="42">
        <v>156828</v>
      </c>
      <c r="I15" s="42">
        <f>H15*I5</f>
        <v>142086.16800000001</v>
      </c>
      <c r="J15" s="1">
        <f t="shared" si="3"/>
        <v>105525.69600000003</v>
      </c>
      <c r="K15" s="6">
        <f t="shared" si="1"/>
        <v>0.67287535389088704</v>
      </c>
      <c r="L15" s="51">
        <v>28.19</v>
      </c>
      <c r="M15" s="80">
        <f>21.67+16.9</f>
        <v>38.57</v>
      </c>
      <c r="N15" s="41"/>
    </row>
    <row r="16" spans="1:14" x14ac:dyDescent="0.2">
      <c r="A16" t="s">
        <v>21</v>
      </c>
      <c r="B16" s="3">
        <v>275929.67</v>
      </c>
      <c r="C16" s="1"/>
      <c r="D16" s="70"/>
      <c r="E16" s="1"/>
      <c r="F16" s="1">
        <f t="shared" si="0"/>
        <v>275929.67</v>
      </c>
      <c r="G16" s="1">
        <f t="shared" si="2"/>
        <v>220743.736</v>
      </c>
      <c r="H16" s="42">
        <v>139797</v>
      </c>
      <c r="I16" s="42">
        <f>I5*H16</f>
        <v>126656.08200000001</v>
      </c>
      <c r="J16" s="1">
        <f t="shared" si="3"/>
        <v>94087.653999999995</v>
      </c>
      <c r="K16" s="6">
        <f t="shared" si="1"/>
        <v>0.67303056574890729</v>
      </c>
      <c r="L16" s="51">
        <v>28.19</v>
      </c>
      <c r="M16" s="80">
        <f>21.67+16.9</f>
        <v>38.57</v>
      </c>
      <c r="N16" s="41"/>
    </row>
    <row r="17" spans="1:14" s="100" customFormat="1" ht="13.5" thickBot="1" x14ac:dyDescent="0.25">
      <c r="A17" s="100" t="s">
        <v>22</v>
      </c>
      <c r="B17" s="70">
        <v>357861.35</v>
      </c>
      <c r="C17" s="42"/>
      <c r="D17" s="70"/>
      <c r="E17" s="42"/>
      <c r="F17" s="42">
        <f t="shared" si="0"/>
        <v>357861.35</v>
      </c>
      <c r="G17" s="42">
        <f t="shared" si="2"/>
        <v>286289.08</v>
      </c>
      <c r="H17" s="42">
        <v>181333</v>
      </c>
      <c r="I17" s="42">
        <f>H17*I5</f>
        <v>164287.698</v>
      </c>
      <c r="J17" s="42">
        <f>G17-I17</f>
        <v>122001.38200000001</v>
      </c>
      <c r="K17" s="101">
        <f t="shared" si="1"/>
        <v>0.67280297574076431</v>
      </c>
      <c r="L17" s="102">
        <v>28.19</v>
      </c>
      <c r="M17" s="99">
        <v>38.58</v>
      </c>
      <c r="N17" s="103"/>
    </row>
    <row r="18" spans="1:14" ht="13.5" thickBot="1" x14ac:dyDescent="0.25">
      <c r="A18" s="2" t="s">
        <v>6</v>
      </c>
      <c r="B18" s="34">
        <f>SUM(B6:B17)</f>
        <v>1878371.92</v>
      </c>
      <c r="C18" s="34">
        <f>SUM(C6:C17)</f>
        <v>0</v>
      </c>
      <c r="D18" s="34">
        <v>0</v>
      </c>
      <c r="E18" s="34">
        <f t="shared" ref="E18:J18" si="4">SUM(E6:E17)</f>
        <v>0</v>
      </c>
      <c r="F18" s="34">
        <f t="shared" si="4"/>
        <v>1878371.92</v>
      </c>
      <c r="G18" s="34">
        <f t="shared" si="4"/>
        <v>1502697.5360000003</v>
      </c>
      <c r="H18" s="35">
        <f t="shared" si="4"/>
        <v>954963</v>
      </c>
      <c r="I18" s="34">
        <f t="shared" si="4"/>
        <v>865196.47800000012</v>
      </c>
      <c r="J18" s="34">
        <f t="shared" si="4"/>
        <v>637501.05800000008</v>
      </c>
      <c r="K18" s="77">
        <f>J18/H18</f>
        <v>0.66756623869197029</v>
      </c>
      <c r="L18" s="76">
        <f>SUM(L6:L17)/12</f>
        <v>28.19</v>
      </c>
      <c r="M18" s="107">
        <f>SUM(M6:M17)/12</f>
        <v>37.049166666666657</v>
      </c>
    </row>
    <row r="19" spans="1:14" ht="13.5" thickBot="1" x14ac:dyDescent="0.25">
      <c r="A19" s="55"/>
      <c r="B19" s="56"/>
      <c r="C19" s="56"/>
      <c r="D19" s="56"/>
      <c r="E19" s="56"/>
      <c r="F19" s="56"/>
      <c r="G19" s="96"/>
      <c r="H19" s="56"/>
      <c r="I19" s="95"/>
      <c r="J19" s="56"/>
      <c r="K19" s="97"/>
      <c r="L19" s="57"/>
      <c r="M19" s="81"/>
    </row>
    <row r="20" spans="1:14" ht="13.5" thickBot="1" x14ac:dyDescent="0.25">
      <c r="C20" t="s">
        <v>23</v>
      </c>
      <c r="F20" s="1">
        <v>17000</v>
      </c>
      <c r="G20" s="100" t="s">
        <v>77</v>
      </c>
      <c r="H20" s="100"/>
      <c r="I20" s="73" t="s">
        <v>24</v>
      </c>
      <c r="J20" s="74"/>
      <c r="K20" s="74"/>
      <c r="L20" s="74" t="s">
        <v>65</v>
      </c>
      <c r="M20" s="46" t="s">
        <v>66</v>
      </c>
    </row>
    <row r="21" spans="1:14" x14ac:dyDescent="0.2">
      <c r="D21" s="105" t="s">
        <v>79</v>
      </c>
      <c r="I21" s="5" t="s">
        <v>25</v>
      </c>
      <c r="J21" s="45" t="s">
        <v>67</v>
      </c>
      <c r="K21" s="46" t="s">
        <v>68</v>
      </c>
      <c r="L21" s="47" t="s">
        <v>69</v>
      </c>
      <c r="M21" s="82" t="s">
        <v>70</v>
      </c>
    </row>
    <row r="22" spans="1:14" ht="13.5" thickBot="1" x14ac:dyDescent="0.25">
      <c r="A22" t="s">
        <v>27</v>
      </c>
      <c r="B22" s="104" t="s">
        <v>78</v>
      </c>
      <c r="C22" s="104" t="s">
        <v>78</v>
      </c>
      <c r="D22" s="106" t="s">
        <v>27</v>
      </c>
      <c r="F22" t="s">
        <v>24</v>
      </c>
      <c r="G22" t="s">
        <v>28</v>
      </c>
      <c r="H22" t="s">
        <v>29</v>
      </c>
      <c r="I22" s="43" t="s">
        <v>30</v>
      </c>
      <c r="J22" s="48" t="s">
        <v>71</v>
      </c>
      <c r="K22" s="48" t="s">
        <v>72</v>
      </c>
      <c r="L22" s="49" t="s">
        <v>73</v>
      </c>
      <c r="M22" s="83" t="s">
        <v>73</v>
      </c>
    </row>
    <row r="23" spans="1:14" x14ac:dyDescent="0.2">
      <c r="A23" s="1">
        <f>H18</f>
        <v>954963</v>
      </c>
      <c r="B23" s="1">
        <v>5530</v>
      </c>
      <c r="C23">
        <v>2017</v>
      </c>
      <c r="D23" s="1">
        <f>A23-B23</f>
        <v>949433</v>
      </c>
      <c r="E23" t="s">
        <v>31</v>
      </c>
      <c r="F23" s="7">
        <f>D23/17000</f>
        <v>55.848999999999997</v>
      </c>
      <c r="G23" t="s">
        <v>28</v>
      </c>
      <c r="H23" s="3">
        <v>3051</v>
      </c>
      <c r="I23" s="54">
        <f>F23*1000000/H23</f>
        <v>18305.14585381842</v>
      </c>
      <c r="J23" s="64">
        <v>741</v>
      </c>
      <c r="K23" s="45">
        <v>205</v>
      </c>
      <c r="L23" s="60">
        <f t="shared" ref="L23:L30" si="5">J23*K23/1000</f>
        <v>151.905</v>
      </c>
      <c r="M23" s="84">
        <f>L23-F23</f>
        <v>96.056000000000012</v>
      </c>
    </row>
    <row r="24" spans="1:14" x14ac:dyDescent="0.2">
      <c r="A24" s="1">
        <v>688423</v>
      </c>
      <c r="B24" s="1">
        <v>5923</v>
      </c>
      <c r="C24">
        <v>2016</v>
      </c>
      <c r="D24" s="1">
        <f>A24-B24</f>
        <v>682500</v>
      </c>
      <c r="E24" t="s">
        <v>31</v>
      </c>
      <c r="F24" s="7">
        <f>D24/17000</f>
        <v>40.147058823529413</v>
      </c>
      <c r="G24" t="s">
        <v>28</v>
      </c>
      <c r="H24" s="3">
        <v>2162</v>
      </c>
      <c r="I24" s="54">
        <f>F24*1000000/H24</f>
        <v>18569.407411438213</v>
      </c>
      <c r="J24" s="64">
        <v>566</v>
      </c>
      <c r="K24" s="45">
        <v>205</v>
      </c>
      <c r="L24" s="60">
        <f t="shared" si="5"/>
        <v>116.03</v>
      </c>
      <c r="M24" s="84">
        <f>L24-F24</f>
        <v>75.882941176470581</v>
      </c>
    </row>
    <row r="25" spans="1:14" x14ac:dyDescent="0.2">
      <c r="A25" s="1">
        <v>1002154</v>
      </c>
      <c r="B25" s="1">
        <v>7308</v>
      </c>
      <c r="C25">
        <v>2015</v>
      </c>
      <c r="D25" s="1">
        <f t="shared" ref="D25:D39" si="6">A25-B25</f>
        <v>994846</v>
      </c>
      <c r="E25" t="s">
        <v>31</v>
      </c>
      <c r="F25" s="7">
        <f>D25/17000</f>
        <v>58.520352941176469</v>
      </c>
      <c r="G25" t="s">
        <v>28</v>
      </c>
      <c r="H25" s="70">
        <v>3100</v>
      </c>
      <c r="I25" s="54">
        <f>F25*1000000/H25</f>
        <v>18877.533206831118</v>
      </c>
      <c r="J25" s="61">
        <v>680.6</v>
      </c>
      <c r="K25" s="66">
        <v>205</v>
      </c>
      <c r="L25" s="60">
        <f t="shared" si="5"/>
        <v>139.523</v>
      </c>
      <c r="M25" s="84">
        <f>L25-F25</f>
        <v>81.002647058823527</v>
      </c>
    </row>
    <row r="26" spans="1:14" x14ac:dyDescent="0.2">
      <c r="A26" s="1">
        <v>636423</v>
      </c>
      <c r="B26" s="1">
        <v>4255</v>
      </c>
      <c r="C26">
        <v>2014</v>
      </c>
      <c r="D26" s="1">
        <f t="shared" si="6"/>
        <v>632168</v>
      </c>
      <c r="E26" t="s">
        <v>31</v>
      </c>
      <c r="F26" s="7">
        <f t="shared" ref="F26:F31" si="7">D26/17000</f>
        <v>37.186352941176473</v>
      </c>
      <c r="G26" t="s">
        <v>28</v>
      </c>
      <c r="H26" s="70">
        <v>1997</v>
      </c>
      <c r="I26" s="54">
        <f t="shared" ref="I26:I38" si="8">F26*1000000/H26</f>
        <v>18621.10813278742</v>
      </c>
      <c r="J26" s="61">
        <v>639.4</v>
      </c>
      <c r="K26" s="66">
        <v>205</v>
      </c>
      <c r="L26" s="60">
        <f t="shared" si="5"/>
        <v>131.077</v>
      </c>
      <c r="M26" s="84">
        <f>L26-F26</f>
        <v>93.890647058823532</v>
      </c>
    </row>
    <row r="27" spans="1:14" x14ac:dyDescent="0.2">
      <c r="A27" s="1">
        <v>642721</v>
      </c>
      <c r="B27" s="1">
        <v>3985</v>
      </c>
      <c r="C27">
        <v>2013</v>
      </c>
      <c r="D27" s="1">
        <f t="shared" si="6"/>
        <v>638736</v>
      </c>
      <c r="E27" t="s">
        <v>31</v>
      </c>
      <c r="F27" s="7">
        <f t="shared" si="7"/>
        <v>37.572705882352942</v>
      </c>
      <c r="G27" t="s">
        <v>28</v>
      </c>
      <c r="H27" s="70">
        <v>2094</v>
      </c>
      <c r="I27" s="54">
        <f t="shared" si="8"/>
        <v>17943.030507331874</v>
      </c>
      <c r="J27" s="62">
        <v>590.4</v>
      </c>
      <c r="K27" s="66">
        <v>205</v>
      </c>
      <c r="L27" s="60">
        <f t="shared" si="5"/>
        <v>121.032</v>
      </c>
      <c r="M27" s="85">
        <f>L27-F26</f>
        <v>83.845647058823516</v>
      </c>
    </row>
    <row r="28" spans="1:14" x14ac:dyDescent="0.2">
      <c r="A28" s="1">
        <v>677953</v>
      </c>
      <c r="B28" s="1">
        <v>3649</v>
      </c>
      <c r="C28">
        <v>2012</v>
      </c>
      <c r="D28" s="1">
        <f t="shared" si="6"/>
        <v>674304</v>
      </c>
      <c r="E28" t="s">
        <v>31</v>
      </c>
      <c r="F28" s="7">
        <f t="shared" si="7"/>
        <v>39.664941176470592</v>
      </c>
      <c r="G28" t="s">
        <v>28</v>
      </c>
      <c r="H28" s="3">
        <v>2070</v>
      </c>
      <c r="I28" s="54">
        <f t="shared" si="8"/>
        <v>19161.807331628304</v>
      </c>
      <c r="J28" s="72">
        <v>618</v>
      </c>
      <c r="K28" s="67">
        <v>205</v>
      </c>
      <c r="L28" s="60">
        <f t="shared" si="5"/>
        <v>126.69</v>
      </c>
      <c r="M28" s="85">
        <f t="shared" ref="M28:M38" si="9">L28-F28</f>
        <v>87.025058823529406</v>
      </c>
    </row>
    <row r="29" spans="1:14" x14ac:dyDescent="0.2">
      <c r="A29" s="1">
        <v>1246163</v>
      </c>
      <c r="B29" s="1">
        <v>14920</v>
      </c>
      <c r="C29">
        <v>2011</v>
      </c>
      <c r="D29" s="1">
        <f t="shared" si="6"/>
        <v>1231243</v>
      </c>
      <c r="E29" t="s">
        <v>31</v>
      </c>
      <c r="F29" s="7">
        <f t="shared" si="7"/>
        <v>72.426058823529416</v>
      </c>
      <c r="G29" t="s">
        <v>28</v>
      </c>
      <c r="H29" s="71">
        <v>4075</v>
      </c>
      <c r="I29" s="54">
        <f t="shared" si="8"/>
        <v>17773.265968964275</v>
      </c>
      <c r="J29" s="63">
        <v>753</v>
      </c>
      <c r="K29" s="67">
        <v>205</v>
      </c>
      <c r="L29" s="60">
        <f t="shared" si="5"/>
        <v>154.36500000000001</v>
      </c>
      <c r="M29" s="85">
        <f t="shared" si="9"/>
        <v>81.938941176470593</v>
      </c>
    </row>
    <row r="30" spans="1:14" x14ac:dyDescent="0.2">
      <c r="A30" s="1">
        <v>995941</v>
      </c>
      <c r="B30" s="1">
        <v>4100</v>
      </c>
      <c r="C30">
        <v>2010</v>
      </c>
      <c r="D30" s="1">
        <f t="shared" si="6"/>
        <v>991841</v>
      </c>
      <c r="E30" t="s">
        <v>31</v>
      </c>
      <c r="F30" s="7">
        <f t="shared" si="7"/>
        <v>58.343588235294121</v>
      </c>
      <c r="G30" t="s">
        <v>28</v>
      </c>
      <c r="H30" s="3">
        <v>3087</v>
      </c>
      <c r="I30" s="54">
        <f t="shared" si="8"/>
        <v>18899.769431582157</v>
      </c>
      <c r="J30" s="64">
        <v>715</v>
      </c>
      <c r="K30" s="67">
        <v>205</v>
      </c>
      <c r="L30" s="60">
        <f t="shared" si="5"/>
        <v>146.57499999999999</v>
      </c>
      <c r="M30" s="85">
        <f t="shared" si="9"/>
        <v>88.231411764705868</v>
      </c>
    </row>
    <row r="31" spans="1:14" x14ac:dyDescent="0.2">
      <c r="A31" s="1">
        <v>423640</v>
      </c>
      <c r="B31" s="1"/>
      <c r="C31">
        <v>2009</v>
      </c>
      <c r="D31" s="1">
        <f t="shared" si="6"/>
        <v>423640</v>
      </c>
      <c r="E31" t="s">
        <v>31</v>
      </c>
      <c r="F31" s="7">
        <f t="shared" si="7"/>
        <v>24.92</v>
      </c>
      <c r="G31" t="s">
        <v>28</v>
      </c>
      <c r="H31" s="3">
        <v>1335</v>
      </c>
      <c r="I31" s="54">
        <f t="shared" si="8"/>
        <v>18666.666666666668</v>
      </c>
      <c r="J31" s="64">
        <v>534</v>
      </c>
      <c r="K31" s="67">
        <v>205</v>
      </c>
      <c r="L31" s="60">
        <f t="shared" ref="L31:L38" si="10">J31*K31/1000</f>
        <v>109.47</v>
      </c>
      <c r="M31" s="85">
        <f t="shared" si="9"/>
        <v>84.55</v>
      </c>
    </row>
    <row r="32" spans="1:14" x14ac:dyDescent="0.2">
      <c r="A32" s="1">
        <v>446892</v>
      </c>
      <c r="B32" s="1"/>
      <c r="C32">
        <v>2008</v>
      </c>
      <c r="D32" s="1">
        <f t="shared" si="6"/>
        <v>446892</v>
      </c>
      <c r="E32" t="s">
        <v>31</v>
      </c>
      <c r="F32" s="7">
        <v>26.29</v>
      </c>
      <c r="G32" t="s">
        <v>28</v>
      </c>
      <c r="H32" s="3">
        <v>1378</v>
      </c>
      <c r="I32" s="54">
        <f t="shared" si="8"/>
        <v>19078.374455732945</v>
      </c>
      <c r="J32" s="64">
        <v>535</v>
      </c>
      <c r="K32" s="67">
        <v>205</v>
      </c>
      <c r="L32" s="60">
        <f t="shared" si="10"/>
        <v>109.675</v>
      </c>
      <c r="M32" s="85">
        <f t="shared" si="9"/>
        <v>83.384999999999991</v>
      </c>
    </row>
    <row r="33" spans="1:13" x14ac:dyDescent="0.2">
      <c r="A33" s="1">
        <v>1013361</v>
      </c>
      <c r="B33" s="1"/>
      <c r="C33">
        <v>2007</v>
      </c>
      <c r="D33" s="1">
        <f t="shared" si="6"/>
        <v>1013361</v>
      </c>
      <c r="E33" t="s">
        <v>31</v>
      </c>
      <c r="F33" s="7">
        <v>59.61</v>
      </c>
      <c r="G33" t="s">
        <v>28</v>
      </c>
      <c r="H33" s="3">
        <v>3153</v>
      </c>
      <c r="I33" s="54">
        <f t="shared" si="8"/>
        <v>18905.803996194099</v>
      </c>
      <c r="J33" s="64">
        <v>708</v>
      </c>
      <c r="K33" s="67">
        <v>205</v>
      </c>
      <c r="L33" s="60">
        <f t="shared" si="10"/>
        <v>145.13999999999999</v>
      </c>
      <c r="M33" s="85">
        <f t="shared" si="9"/>
        <v>85.529999999999987</v>
      </c>
    </row>
    <row r="34" spans="1:13" x14ac:dyDescent="0.2">
      <c r="A34" s="1">
        <v>752020</v>
      </c>
      <c r="B34" s="1"/>
      <c r="C34">
        <v>2006</v>
      </c>
      <c r="D34" s="1">
        <f t="shared" si="6"/>
        <v>752020</v>
      </c>
      <c r="E34" t="s">
        <v>31</v>
      </c>
      <c r="F34" s="7">
        <v>44.24</v>
      </c>
      <c r="G34" t="s">
        <v>28</v>
      </c>
      <c r="H34" s="3">
        <v>2482</v>
      </c>
      <c r="I34" s="54">
        <f t="shared" si="8"/>
        <v>17824.33521353747</v>
      </c>
      <c r="J34" s="64">
        <v>509</v>
      </c>
      <c r="K34" s="67">
        <v>205</v>
      </c>
      <c r="L34" s="60">
        <f t="shared" si="10"/>
        <v>104.345</v>
      </c>
      <c r="M34" s="85">
        <f t="shared" si="9"/>
        <v>60.104999999999997</v>
      </c>
    </row>
    <row r="35" spans="1:13" x14ac:dyDescent="0.2">
      <c r="A35" s="1">
        <v>581036</v>
      </c>
      <c r="B35" s="1"/>
      <c r="C35">
        <v>2005</v>
      </c>
      <c r="D35" s="1">
        <f t="shared" si="6"/>
        <v>581036</v>
      </c>
      <c r="E35" t="s">
        <v>31</v>
      </c>
      <c r="F35" s="7">
        <v>34.18</v>
      </c>
      <c r="G35" t="s">
        <v>28</v>
      </c>
      <c r="H35" s="3">
        <v>1776</v>
      </c>
      <c r="I35" s="54">
        <f t="shared" si="8"/>
        <v>19245.495495495496</v>
      </c>
      <c r="J35" s="64">
        <v>512</v>
      </c>
      <c r="K35" s="67">
        <v>205</v>
      </c>
      <c r="L35" s="60">
        <f t="shared" si="10"/>
        <v>104.96</v>
      </c>
      <c r="M35" s="85">
        <f t="shared" si="9"/>
        <v>70.78</v>
      </c>
    </row>
    <row r="36" spans="1:13" x14ac:dyDescent="0.2">
      <c r="A36" s="1">
        <v>604428</v>
      </c>
      <c r="B36" s="1"/>
      <c r="C36">
        <v>2004</v>
      </c>
      <c r="D36" s="1">
        <f t="shared" si="6"/>
        <v>604428</v>
      </c>
      <c r="E36" t="s">
        <v>31</v>
      </c>
      <c r="F36" s="7">
        <v>35</v>
      </c>
      <c r="G36" t="s">
        <v>28</v>
      </c>
      <c r="H36" s="3">
        <v>1899</v>
      </c>
      <c r="I36" s="54">
        <f t="shared" si="8"/>
        <v>18430.753027909424</v>
      </c>
      <c r="J36" s="64">
        <v>612</v>
      </c>
      <c r="K36" s="67">
        <v>205</v>
      </c>
      <c r="L36" s="60">
        <f t="shared" si="10"/>
        <v>125.46</v>
      </c>
      <c r="M36" s="85">
        <f t="shared" si="9"/>
        <v>90.46</v>
      </c>
    </row>
    <row r="37" spans="1:13" x14ac:dyDescent="0.2">
      <c r="A37" s="1">
        <v>332411</v>
      </c>
      <c r="B37" s="1"/>
      <c r="C37">
        <v>2003</v>
      </c>
      <c r="D37" s="1">
        <f t="shared" si="6"/>
        <v>332411</v>
      </c>
      <c r="E37" t="s">
        <v>31</v>
      </c>
      <c r="F37" s="7">
        <v>19.55</v>
      </c>
      <c r="G37" t="s">
        <v>28</v>
      </c>
      <c r="H37" s="3">
        <v>997</v>
      </c>
      <c r="I37" s="54">
        <f t="shared" si="8"/>
        <v>19608.826479438314</v>
      </c>
      <c r="J37" s="64">
        <v>451</v>
      </c>
      <c r="K37" s="67">
        <v>205</v>
      </c>
      <c r="L37" s="60">
        <f t="shared" si="10"/>
        <v>92.454999999999998</v>
      </c>
      <c r="M37" s="85">
        <f t="shared" si="9"/>
        <v>72.905000000000001</v>
      </c>
    </row>
    <row r="38" spans="1:13" ht="13.5" thickBot="1" x14ac:dyDescent="0.25">
      <c r="A38" s="1">
        <v>1253720</v>
      </c>
      <c r="B38" s="1"/>
      <c r="C38">
        <v>2002</v>
      </c>
      <c r="D38" s="1">
        <f t="shared" si="6"/>
        <v>1253720</v>
      </c>
      <c r="E38" t="s">
        <v>31</v>
      </c>
      <c r="F38" s="7">
        <v>73.75</v>
      </c>
      <c r="G38" t="s">
        <v>28</v>
      </c>
      <c r="H38" s="3">
        <v>4018</v>
      </c>
      <c r="I38" s="54">
        <f t="shared" si="8"/>
        <v>18354.902936784471</v>
      </c>
      <c r="J38" s="64">
        <v>780</v>
      </c>
      <c r="K38" s="67">
        <v>205</v>
      </c>
      <c r="L38" s="60">
        <f t="shared" si="10"/>
        <v>159.9</v>
      </c>
      <c r="M38" s="85">
        <f t="shared" si="9"/>
        <v>86.15</v>
      </c>
    </row>
    <row r="39" spans="1:13" ht="13.5" thickBot="1" x14ac:dyDescent="0.25">
      <c r="A39" s="34">
        <f>SUM(A23:A38)/16</f>
        <v>765765.5625</v>
      </c>
      <c r="B39" s="34"/>
      <c r="C39" s="52" t="s">
        <v>39</v>
      </c>
      <c r="D39" s="35">
        <f t="shared" si="6"/>
        <v>765765.5625</v>
      </c>
      <c r="E39" s="52" t="s">
        <v>31</v>
      </c>
      <c r="F39" s="53">
        <f>SUM(F23:F38)/16</f>
        <v>44.828128676470584</v>
      </c>
      <c r="G39" s="53"/>
      <c r="H39" s="75">
        <f t="shared" ref="H39:M39" si="11">SUM(H23:H38)/16</f>
        <v>2417.125</v>
      </c>
      <c r="I39" s="58">
        <f t="shared" si="11"/>
        <v>18641.639132258792</v>
      </c>
      <c r="J39" s="65">
        <f t="shared" si="11"/>
        <v>621.52499999999998</v>
      </c>
      <c r="K39" s="68">
        <f t="shared" si="11"/>
        <v>205</v>
      </c>
      <c r="L39" s="65">
        <f t="shared" si="11"/>
        <v>127.41262500000001</v>
      </c>
      <c r="M39" s="68">
        <f t="shared" si="11"/>
        <v>82.608643382352952</v>
      </c>
    </row>
    <row r="40" spans="1:13" ht="13.5" thickBot="1" x14ac:dyDescent="0.25">
      <c r="B40" s="55"/>
      <c r="C40" s="55"/>
      <c r="D40" s="56"/>
      <c r="E40" s="55"/>
      <c r="F40" s="59"/>
      <c r="G40" s="59"/>
      <c r="H40" s="59"/>
      <c r="I40" s="69"/>
      <c r="J40" s="59"/>
      <c r="K40" s="59"/>
      <c r="L40" s="98" t="s">
        <v>76</v>
      </c>
      <c r="M40" s="86">
        <f>M39/L39%</f>
        <v>64.83552425228892</v>
      </c>
    </row>
    <row r="41" spans="1:13" ht="13.5" thickBot="1" x14ac:dyDescent="0.25">
      <c r="A41" s="89" t="s">
        <v>81</v>
      </c>
      <c r="B41" s="52"/>
      <c r="C41" s="90" t="s">
        <v>80</v>
      </c>
      <c r="D41" s="34">
        <v>760770</v>
      </c>
      <c r="E41" s="52" t="s">
        <v>31</v>
      </c>
      <c r="F41" s="53">
        <v>45</v>
      </c>
      <c r="G41" s="52" t="s">
        <v>28</v>
      </c>
      <c r="H41" s="75">
        <v>2431</v>
      </c>
      <c r="I41" s="91">
        <v>18512</v>
      </c>
      <c r="J41" s="92">
        <v>626</v>
      </c>
      <c r="K41" s="68">
        <v>205</v>
      </c>
      <c r="L41" s="93">
        <v>125</v>
      </c>
      <c r="M41" s="94">
        <v>81</v>
      </c>
    </row>
    <row r="42" spans="1:13" ht="13.5" thickBot="1" x14ac:dyDescent="0.25">
      <c r="D42" s="1"/>
      <c r="G42" s="3"/>
      <c r="L42" s="50">
        <v>1</v>
      </c>
      <c r="M42" s="87">
        <f>M41/L41</f>
        <v>0.64800000000000002</v>
      </c>
    </row>
    <row r="43" spans="1:13" x14ac:dyDescent="0.2">
      <c r="D43" s="1"/>
      <c r="E43" s="3"/>
    </row>
    <row r="44" spans="1:13" x14ac:dyDescent="0.2">
      <c r="D44" s="1"/>
      <c r="E44" s="3"/>
    </row>
  </sheetData>
  <phoneticPr fontId="0" type="noConversion"/>
  <pageMargins left="0.12" right="0.12" top="0.2" bottom="0.16" header="0" footer="0"/>
  <pageSetup paperSize="9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H27"/>
  <sheetViews>
    <sheetView workbookViewId="0">
      <selection activeCell="K30" sqref="K30"/>
    </sheetView>
  </sheetViews>
  <sheetFormatPr defaultRowHeight="12.75" x14ac:dyDescent="0.2"/>
  <cols>
    <col min="2" max="2" width="10" bestFit="1" customWidth="1"/>
    <col min="3" max="3" width="14" bestFit="1" customWidth="1"/>
    <col min="6" max="6" width="13.28515625" bestFit="1" customWidth="1"/>
    <col min="7" max="7" width="14" bestFit="1" customWidth="1"/>
  </cols>
  <sheetData>
    <row r="4" spans="2:8" x14ac:dyDescent="0.2">
      <c r="B4" t="s">
        <v>26</v>
      </c>
      <c r="C4" t="s">
        <v>27</v>
      </c>
      <c r="F4" t="s">
        <v>26</v>
      </c>
      <c r="G4" t="s">
        <v>27</v>
      </c>
    </row>
    <row r="5" spans="2:8" x14ac:dyDescent="0.2">
      <c r="B5">
        <v>2010</v>
      </c>
      <c r="C5" s="1">
        <v>995941</v>
      </c>
      <c r="D5" t="s">
        <v>31</v>
      </c>
      <c r="F5">
        <v>2010</v>
      </c>
      <c r="G5" s="1">
        <v>995941</v>
      </c>
      <c r="H5" t="s">
        <v>31</v>
      </c>
    </row>
    <row r="6" spans="2:8" x14ac:dyDescent="0.2">
      <c r="B6">
        <v>2009</v>
      </c>
      <c r="C6" s="1">
        <v>423640</v>
      </c>
      <c r="D6" t="s">
        <v>31</v>
      </c>
      <c r="F6">
        <v>2009</v>
      </c>
      <c r="G6" s="1">
        <v>423640</v>
      </c>
      <c r="H6" t="s">
        <v>31</v>
      </c>
    </row>
    <row r="7" spans="2:8" x14ac:dyDescent="0.2">
      <c r="B7">
        <v>2008</v>
      </c>
      <c r="C7" s="1">
        <v>446892</v>
      </c>
      <c r="D7" t="s">
        <v>31</v>
      </c>
      <c r="F7">
        <v>2008</v>
      </c>
      <c r="G7" s="1">
        <v>446892</v>
      </c>
      <c r="H7" t="s">
        <v>31</v>
      </c>
    </row>
    <row r="8" spans="2:8" x14ac:dyDescent="0.2">
      <c r="B8">
        <v>2007</v>
      </c>
      <c r="C8" s="1">
        <v>1013361</v>
      </c>
      <c r="D8" t="s">
        <v>31</v>
      </c>
      <c r="F8">
        <v>2007</v>
      </c>
      <c r="G8" s="1">
        <v>1013361</v>
      </c>
      <c r="H8" t="s">
        <v>31</v>
      </c>
    </row>
    <row r="9" spans="2:8" x14ac:dyDescent="0.2">
      <c r="B9">
        <v>2006</v>
      </c>
      <c r="C9" s="1">
        <v>752020</v>
      </c>
      <c r="D9" t="s">
        <v>31</v>
      </c>
      <c r="F9">
        <v>2006</v>
      </c>
      <c r="G9" s="1">
        <v>752020</v>
      </c>
      <c r="H9" t="s">
        <v>31</v>
      </c>
    </row>
    <row r="10" spans="2:8" x14ac:dyDescent="0.2">
      <c r="B10">
        <v>2005</v>
      </c>
      <c r="C10" s="1">
        <v>581036</v>
      </c>
      <c r="D10" t="s">
        <v>31</v>
      </c>
      <c r="F10">
        <v>2005</v>
      </c>
      <c r="G10" s="1">
        <v>581036</v>
      </c>
      <c r="H10" t="s">
        <v>31</v>
      </c>
    </row>
    <row r="11" spans="2:8" x14ac:dyDescent="0.2">
      <c r="B11">
        <v>2004</v>
      </c>
      <c r="C11" s="1">
        <v>604428</v>
      </c>
      <c r="D11" t="s">
        <v>31</v>
      </c>
      <c r="F11">
        <v>2004</v>
      </c>
      <c r="G11" s="1">
        <v>604428</v>
      </c>
      <c r="H11" t="s">
        <v>31</v>
      </c>
    </row>
    <row r="12" spans="2:8" x14ac:dyDescent="0.2">
      <c r="B12">
        <v>2003</v>
      </c>
      <c r="C12" s="1">
        <v>332411</v>
      </c>
      <c r="D12" t="s">
        <v>31</v>
      </c>
      <c r="F12">
        <v>2003</v>
      </c>
      <c r="G12" s="1">
        <v>332411</v>
      </c>
      <c r="H12" t="s">
        <v>31</v>
      </c>
    </row>
    <row r="13" spans="2:8" x14ac:dyDescent="0.2">
      <c r="B13">
        <v>2002</v>
      </c>
      <c r="C13" s="1">
        <v>1253720</v>
      </c>
      <c r="D13" t="s">
        <v>31</v>
      </c>
      <c r="F13">
        <v>2002</v>
      </c>
      <c r="G13" s="1">
        <v>1253720</v>
      </c>
      <c r="H13" t="s">
        <v>31</v>
      </c>
    </row>
    <row r="14" spans="2:8" x14ac:dyDescent="0.2">
      <c r="B14">
        <v>2001</v>
      </c>
      <c r="C14" s="1">
        <v>740404</v>
      </c>
      <c r="D14" t="s">
        <v>31</v>
      </c>
      <c r="F14">
        <v>2001</v>
      </c>
      <c r="G14" s="1">
        <v>740404</v>
      </c>
      <c r="H14" t="s">
        <v>31</v>
      </c>
    </row>
    <row r="15" spans="2:8" x14ac:dyDescent="0.2">
      <c r="B15">
        <v>2000</v>
      </c>
      <c r="C15" s="1">
        <v>691270</v>
      </c>
      <c r="D15" t="s">
        <v>31</v>
      </c>
      <c r="F15">
        <v>2000</v>
      </c>
      <c r="G15" s="1">
        <v>691270</v>
      </c>
      <c r="H15" t="s">
        <v>31</v>
      </c>
    </row>
    <row r="16" spans="2:8" x14ac:dyDescent="0.2">
      <c r="C16" s="1">
        <f>SUM(C5:C15)</f>
        <v>7835123</v>
      </c>
      <c r="F16" t="s">
        <v>32</v>
      </c>
      <c r="G16" s="1">
        <v>768752</v>
      </c>
      <c r="H16" t="s">
        <v>31</v>
      </c>
    </row>
    <row r="17" spans="2:8" x14ac:dyDescent="0.2">
      <c r="B17" t="s">
        <v>57</v>
      </c>
      <c r="C17" s="1">
        <f>SUM(C5:C15)/11</f>
        <v>712283.90909090906</v>
      </c>
      <c r="F17" t="s">
        <v>33</v>
      </c>
      <c r="G17" s="1">
        <v>1017344</v>
      </c>
      <c r="H17" t="s">
        <v>31</v>
      </c>
    </row>
    <row r="18" spans="2:8" x14ac:dyDescent="0.2">
      <c r="B18" t="s">
        <v>58</v>
      </c>
      <c r="C18" s="3">
        <f>C16/4/11</f>
        <v>178070.97727272726</v>
      </c>
      <c r="F18" t="s">
        <v>34</v>
      </c>
      <c r="G18" s="1">
        <v>578640</v>
      </c>
      <c r="H18" t="s">
        <v>31</v>
      </c>
    </row>
    <row r="19" spans="2:8" x14ac:dyDescent="0.2">
      <c r="B19" t="s">
        <v>59</v>
      </c>
      <c r="C19" s="4">
        <f>C17+C18</f>
        <v>890354.88636363635</v>
      </c>
      <c r="F19" t="s">
        <v>35</v>
      </c>
      <c r="G19" s="1">
        <v>429257</v>
      </c>
      <c r="H19" t="s">
        <v>31</v>
      </c>
    </row>
    <row r="20" spans="2:8" x14ac:dyDescent="0.2">
      <c r="F20" t="s">
        <v>36</v>
      </c>
      <c r="G20" s="1">
        <v>207222</v>
      </c>
      <c r="H20" t="s">
        <v>31</v>
      </c>
    </row>
    <row r="21" spans="2:8" x14ac:dyDescent="0.2">
      <c r="F21" t="s">
        <v>37</v>
      </c>
      <c r="G21" s="1">
        <v>1066117</v>
      </c>
      <c r="H21" t="s">
        <v>31</v>
      </c>
    </row>
    <row r="22" spans="2:8" ht="13.5" thickBot="1" x14ac:dyDescent="0.25">
      <c r="F22" t="s">
        <v>38</v>
      </c>
      <c r="G22" s="1">
        <v>1317677</v>
      </c>
      <c r="H22" t="s">
        <v>31</v>
      </c>
    </row>
    <row r="23" spans="2:8" ht="13.5" thickBot="1" x14ac:dyDescent="0.25">
      <c r="F23" s="2" t="s">
        <v>39</v>
      </c>
      <c r="G23" s="32">
        <f>SUM(G5:G22)/18</f>
        <v>734451.77777777775</v>
      </c>
      <c r="H23" s="33">
        <f t="shared" ref="H23" si="0">SUM(H5:H22)/16</f>
        <v>0</v>
      </c>
    </row>
    <row r="24" spans="2:8" ht="13.5" thickBot="1" x14ac:dyDescent="0.25">
      <c r="F24" t="s">
        <v>58</v>
      </c>
      <c r="G24" s="3">
        <f>G23*0.25</f>
        <v>183612.94444444444</v>
      </c>
    </row>
    <row r="25" spans="2:8" ht="13.5" thickBot="1" x14ac:dyDescent="0.25">
      <c r="F25" s="8" t="s">
        <v>59</v>
      </c>
      <c r="G25" s="36">
        <f>G23+G24</f>
        <v>918064.72222222225</v>
      </c>
    </row>
    <row r="27" spans="2:8" x14ac:dyDescent="0.2">
      <c r="F27" s="37" t="s">
        <v>60</v>
      </c>
      <c r="G27" s="38">
        <v>900000</v>
      </c>
      <c r="H27" s="37" t="s">
        <v>61</v>
      </c>
    </row>
  </sheetData>
  <phoneticPr fontId="0" type="noConversion"/>
  <pageMargins left="0.75" right="0.75" top="1" bottom="1" header="0" footer="0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12"/>
  <sheetViews>
    <sheetView showGridLines="0" workbookViewId="0">
      <selection activeCell="E10" sqref="E10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9" t="s">
        <v>41</v>
      </c>
      <c r="C1" s="10"/>
      <c r="D1" s="18"/>
      <c r="E1" s="18"/>
    </row>
    <row r="2" spans="2:5" x14ac:dyDescent="0.2">
      <c r="B2" s="9" t="s">
        <v>42</v>
      </c>
      <c r="C2" s="10"/>
      <c r="D2" s="18"/>
      <c r="E2" s="18"/>
    </row>
    <row r="3" spans="2:5" x14ac:dyDescent="0.2">
      <c r="B3" s="11"/>
      <c r="C3" s="11"/>
      <c r="D3" s="19"/>
      <c r="E3" s="19"/>
    </row>
    <row r="4" spans="2:5" ht="38.25" x14ac:dyDescent="0.2">
      <c r="B4" s="12" t="s">
        <v>43</v>
      </c>
      <c r="C4" s="11"/>
      <c r="D4" s="19"/>
      <c r="E4" s="19"/>
    </row>
    <row r="5" spans="2:5" x14ac:dyDescent="0.2">
      <c r="B5" s="11"/>
      <c r="C5" s="11"/>
      <c r="D5" s="19"/>
      <c r="E5" s="19"/>
    </row>
    <row r="6" spans="2:5" ht="25.5" x14ac:dyDescent="0.2">
      <c r="B6" s="9" t="s">
        <v>44</v>
      </c>
      <c r="C6" s="10"/>
      <c r="D6" s="18"/>
      <c r="E6" s="20" t="s">
        <v>45</v>
      </c>
    </row>
    <row r="7" spans="2:5" ht="13.5" thickBot="1" x14ac:dyDescent="0.25">
      <c r="B7" s="11"/>
      <c r="C7" s="11"/>
      <c r="D7" s="19"/>
      <c r="E7" s="19"/>
    </row>
    <row r="8" spans="2:5" ht="51" x14ac:dyDescent="0.2">
      <c r="B8" s="13" t="s">
        <v>46</v>
      </c>
      <c r="C8" s="14"/>
      <c r="D8" s="21"/>
      <c r="E8" s="22">
        <v>7</v>
      </c>
    </row>
    <row r="9" spans="2:5" x14ac:dyDescent="0.2">
      <c r="B9" s="15"/>
      <c r="C9" s="11"/>
      <c r="D9" s="19"/>
      <c r="E9" s="23" t="s">
        <v>47</v>
      </c>
    </row>
    <row r="10" spans="2:5" ht="13.5" thickBot="1" x14ac:dyDescent="0.25">
      <c r="B10" s="16"/>
      <c r="C10" s="17"/>
      <c r="D10" s="24"/>
      <c r="E10" s="25" t="s">
        <v>48</v>
      </c>
    </row>
    <row r="11" spans="2:5" x14ac:dyDescent="0.2">
      <c r="B11" s="11"/>
      <c r="C11" s="11"/>
      <c r="D11" s="19"/>
      <c r="E11" s="19"/>
    </row>
    <row r="12" spans="2:5" x14ac:dyDescent="0.2">
      <c r="B12" s="11"/>
      <c r="C12" s="11"/>
      <c r="D12" s="19"/>
      <c r="E12" s="19"/>
    </row>
  </sheetData>
  <hyperlinks>
    <hyperlink ref="E9" location="'Ark1'!B6:G6" display="'Ark1'!B6:G6" xr:uid="{00000000-0004-0000-0300-000000000000}"/>
    <hyperlink ref="E10" location="'Ark1'!J6" display="'Ark1'!J6" xr:uid="{00000000-0004-0000-0300-000001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18"/>
  <sheetViews>
    <sheetView showGridLines="0" workbookViewId="0">
      <selection activeCell="B20" sqref="B20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26" t="s">
        <v>41</v>
      </c>
      <c r="C1" s="10"/>
      <c r="D1" s="18"/>
      <c r="E1" s="18"/>
    </row>
    <row r="2" spans="2:5" x14ac:dyDescent="0.2">
      <c r="B2" s="26" t="s">
        <v>49</v>
      </c>
      <c r="C2" s="10"/>
      <c r="D2" s="18"/>
      <c r="E2" s="18"/>
    </row>
    <row r="3" spans="2:5" x14ac:dyDescent="0.2">
      <c r="B3" s="11"/>
      <c r="C3" s="11"/>
      <c r="D3" s="19"/>
      <c r="E3" s="19"/>
    </row>
    <row r="4" spans="2:5" ht="38.25" x14ac:dyDescent="0.2">
      <c r="B4" s="27" t="s">
        <v>43</v>
      </c>
      <c r="C4" s="11"/>
      <c r="D4" s="19"/>
      <c r="E4" s="19"/>
    </row>
    <row r="5" spans="2:5" x14ac:dyDescent="0.2">
      <c r="B5" s="11"/>
      <c r="C5" s="11"/>
      <c r="D5" s="19"/>
      <c r="E5" s="19"/>
    </row>
    <row r="6" spans="2:5" ht="25.5" x14ac:dyDescent="0.2">
      <c r="B6" s="26" t="s">
        <v>44</v>
      </c>
      <c r="C6" s="10"/>
      <c r="D6" s="18"/>
      <c r="E6" s="29" t="s">
        <v>45</v>
      </c>
    </row>
    <row r="7" spans="2:5" ht="13.5" thickBot="1" x14ac:dyDescent="0.25">
      <c r="B7" s="11"/>
      <c r="C7" s="11"/>
      <c r="D7" s="19"/>
      <c r="E7" s="19"/>
    </row>
    <row r="8" spans="2:5" ht="51" x14ac:dyDescent="0.2">
      <c r="B8" s="28" t="s">
        <v>46</v>
      </c>
      <c r="C8" s="14"/>
      <c r="D8" s="21"/>
      <c r="E8" s="22">
        <v>41</v>
      </c>
    </row>
    <row r="9" spans="2:5" x14ac:dyDescent="0.2">
      <c r="B9" s="15"/>
      <c r="C9" s="11"/>
      <c r="D9" s="19"/>
      <c r="E9" s="30" t="s">
        <v>47</v>
      </c>
    </row>
    <row r="10" spans="2:5" x14ac:dyDescent="0.2">
      <c r="B10" s="15"/>
      <c r="C10" s="11"/>
      <c r="D10" s="19"/>
      <c r="E10" s="30" t="s">
        <v>50</v>
      </c>
    </row>
    <row r="11" spans="2:5" x14ac:dyDescent="0.2">
      <c r="B11" s="15"/>
      <c r="C11" s="11"/>
      <c r="D11" s="19"/>
      <c r="E11" s="30" t="s">
        <v>51</v>
      </c>
    </row>
    <row r="12" spans="2:5" x14ac:dyDescent="0.2">
      <c r="B12" s="15"/>
      <c r="C12" s="11"/>
      <c r="D12" s="19"/>
      <c r="E12" s="30" t="s">
        <v>52</v>
      </c>
    </row>
    <row r="13" spans="2:5" x14ac:dyDescent="0.2">
      <c r="B13" s="15"/>
      <c r="C13" s="11"/>
      <c r="D13" s="19"/>
      <c r="E13" s="30" t="s">
        <v>53</v>
      </c>
    </row>
    <row r="14" spans="2:5" x14ac:dyDescent="0.2">
      <c r="B14" s="15"/>
      <c r="C14" s="11"/>
      <c r="D14" s="19"/>
      <c r="E14" s="30" t="s">
        <v>54</v>
      </c>
    </row>
    <row r="15" spans="2:5" x14ac:dyDescent="0.2">
      <c r="B15" s="15"/>
      <c r="C15" s="11"/>
      <c r="D15" s="19"/>
      <c r="E15" s="30" t="s">
        <v>55</v>
      </c>
    </row>
    <row r="16" spans="2:5" ht="13.5" thickBot="1" x14ac:dyDescent="0.25">
      <c r="B16" s="16"/>
      <c r="C16" s="17"/>
      <c r="D16" s="24"/>
      <c r="E16" s="31" t="s">
        <v>56</v>
      </c>
    </row>
    <row r="17" spans="2:5" x14ac:dyDescent="0.2">
      <c r="B17" s="11"/>
      <c r="C17" s="11"/>
      <c r="D17" s="19"/>
      <c r="E17" s="19"/>
    </row>
    <row r="18" spans="2:5" x14ac:dyDescent="0.2">
      <c r="B18" s="11"/>
      <c r="C18" s="11"/>
      <c r="D18" s="19"/>
      <c r="E18" s="19"/>
    </row>
  </sheetData>
  <hyperlinks>
    <hyperlink ref="E9" location="'Ark1'!B6:G6" display="'Ark1'!B6:G6" xr:uid="{00000000-0004-0000-0400-000000000000}"/>
    <hyperlink ref="E10" location="'Ark1'!J6:J10" display="'Ark1'!J6:J10" xr:uid="{00000000-0004-0000-0400-000001000000}"/>
    <hyperlink ref="E11" location="'Ark1'!B7:G8" display="'Ark1'!B7:G8" xr:uid="{00000000-0004-0000-0400-000002000000}"/>
    <hyperlink ref="E12" location="'Ark1'!B9:C9" display="'Ark1'!B9:C9" xr:uid="{00000000-0004-0000-0400-000003000000}"/>
    <hyperlink ref="E13" location="'Ark1'!E9:G9" display="'Ark1'!E9:G9" xr:uid="{00000000-0004-0000-0400-000004000000}"/>
    <hyperlink ref="E14" location="'Ark1'!B10:G10" display="'Ark1'!B10:G10" xr:uid="{00000000-0004-0000-0400-000005000000}"/>
    <hyperlink ref="E15" location="'Ark1'!B12:G12" display="'Ark1'!B12:G12" xr:uid="{00000000-0004-0000-0400-000006000000}"/>
    <hyperlink ref="E16" location="'Ark1'!J12" display="'Ark1'!J12" xr:uid="{00000000-0004-0000-0400-000007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Ark1</vt:lpstr>
      <vt:lpstr>Ark2</vt:lpstr>
      <vt:lpstr>Ark3</vt:lpstr>
      <vt:lpstr>Kompatibilitetsrapport</vt:lpstr>
      <vt:lpstr>Kompatibilitetsrapport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Mogens</dc:creator>
  <cp:lastModifiedBy>Mogens</cp:lastModifiedBy>
  <cp:lastPrinted>2018-01-11T16:32:07Z</cp:lastPrinted>
  <dcterms:created xsi:type="dcterms:W3CDTF">2009-02-09T13:43:21Z</dcterms:created>
  <dcterms:modified xsi:type="dcterms:W3CDTF">2018-01-11T16:32:19Z</dcterms:modified>
</cp:coreProperties>
</file>